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DA71" lockStructure="1"/>
  <bookViews>
    <workbookView xWindow="7710" yWindow="60" windowWidth="7680" windowHeight="81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33" i="1" l="1"/>
  <c r="K37" i="1"/>
  <c r="D14" i="1" l="1"/>
  <c r="C13" i="1"/>
  <c r="C12" i="1"/>
  <c r="I23" i="1" l="1"/>
  <c r="D21" i="1" s="1"/>
  <c r="J33" i="1"/>
  <c r="I33" i="1"/>
  <c r="J37" i="1" l="1"/>
  <c r="I37" i="1"/>
  <c r="I13" i="1" l="1"/>
  <c r="D19" i="1" s="1"/>
  <c r="I18" i="1"/>
  <c r="D20" i="1" s="1"/>
  <c r="D25" i="1" s="1"/>
  <c r="D22" i="1"/>
  <c r="D24" i="1" l="1"/>
  <c r="D32" i="1"/>
  <c r="D26" i="1"/>
  <c r="D28" i="1" s="1"/>
  <c r="D30" i="1" s="1"/>
  <c r="E33" i="1" l="1"/>
  <c r="D27" i="1"/>
  <c r="D33" i="1" s="1"/>
  <c r="D34" i="1" s="1"/>
  <c r="D29" i="1"/>
  <c r="D35" i="1" l="1"/>
  <c r="D36" i="1" s="1"/>
  <c r="D37" i="1" s="1"/>
  <c r="D42" i="1" l="1"/>
  <c r="D43" i="1" s="1"/>
  <c r="D39" i="1"/>
  <c r="D40" i="1" s="1"/>
</calcChain>
</file>

<file path=xl/sharedStrings.xml><?xml version="1.0" encoding="utf-8"?>
<sst xmlns="http://schemas.openxmlformats.org/spreadsheetml/2006/main" count="107" uniqueCount="101">
  <si>
    <t>A</t>
  </si>
  <si>
    <t>B</t>
  </si>
  <si>
    <t>D</t>
  </si>
  <si>
    <t>E</t>
  </si>
  <si>
    <t>F</t>
  </si>
  <si>
    <t>Property</t>
  </si>
  <si>
    <t>Target</t>
  </si>
  <si>
    <t>Actual</t>
  </si>
  <si>
    <t>Refractory Solids</t>
  </si>
  <si>
    <t xml:space="preserve"> </t>
  </si>
  <si>
    <t>G</t>
  </si>
  <si>
    <t>Slurry Control Worksheet</t>
  </si>
  <si>
    <t>Metric Measure</t>
  </si>
  <si>
    <t>H</t>
  </si>
  <si>
    <t>I</t>
  </si>
  <si>
    <t>J</t>
  </si>
  <si>
    <t>Tank Calculation</t>
  </si>
  <si>
    <t>A1</t>
  </si>
  <si>
    <t>A2</t>
  </si>
  <si>
    <t>A3</t>
  </si>
  <si>
    <t>Slurry Control Target Values</t>
  </si>
  <si>
    <t>B1</t>
  </si>
  <si>
    <t>B2</t>
  </si>
  <si>
    <t>Volume (liters)</t>
  </si>
  <si>
    <t>C</t>
  </si>
  <si>
    <t>Slurry Test Results</t>
  </si>
  <si>
    <t>C1</t>
  </si>
  <si>
    <t>C2</t>
  </si>
  <si>
    <t>C3</t>
  </si>
  <si>
    <t>C4</t>
  </si>
  <si>
    <t>Current Slurry Makeup</t>
  </si>
  <si>
    <t>Specific Gravity (J4 at right or direct input)</t>
  </si>
  <si>
    <t>Total Weight of Slurry (kilograms)</t>
  </si>
  <si>
    <t>Weight % of Water</t>
  </si>
  <si>
    <t>Weight % of Binder</t>
  </si>
  <si>
    <t>Weight of Centrifuged Binder</t>
  </si>
  <si>
    <t>Weight of Binder</t>
  </si>
  <si>
    <t>D1</t>
  </si>
  <si>
    <t>Water Addition</t>
  </si>
  <si>
    <t>E1</t>
  </si>
  <si>
    <t>E2</t>
  </si>
  <si>
    <t>Water Addition (kilograms)</t>
  </si>
  <si>
    <t>E3</t>
  </si>
  <si>
    <t>Adjusted Weight of Slurry</t>
  </si>
  <si>
    <t>Adjusted Weight of Binder</t>
  </si>
  <si>
    <t>Adjusted Weight % of Binder</t>
  </si>
  <si>
    <t>Binder Addition</t>
  </si>
  <si>
    <t>F2</t>
  </si>
  <si>
    <t>% Difference</t>
  </si>
  <si>
    <t>Binder Addition (kilograms)</t>
  </si>
  <si>
    <t>Refractory Addition</t>
  </si>
  <si>
    <t>G1</t>
  </si>
  <si>
    <t>G2</t>
  </si>
  <si>
    <t>Refractory Addition (killograms)</t>
  </si>
  <si>
    <t>H1</t>
  </si>
  <si>
    <t>H2</t>
  </si>
  <si>
    <t>H3</t>
  </si>
  <si>
    <t>I1</t>
  </si>
  <si>
    <t>I2</t>
  </si>
  <si>
    <t>I3</t>
  </si>
  <si>
    <t>J1</t>
  </si>
  <si>
    <t>J2</t>
  </si>
  <si>
    <t>J3</t>
  </si>
  <si>
    <t>J4</t>
  </si>
  <si>
    <t>Calculated Total Solids</t>
  </si>
  <si>
    <t xml:space="preserve">Specific Gravity Calculation   </t>
  </si>
  <si>
    <t>Calculated Slurry Density</t>
  </si>
  <si>
    <t>Calculated Specific Gravity</t>
  </si>
  <si>
    <t>Pan Weight (grams)</t>
  </si>
  <si>
    <t>Wet Weight (grams)</t>
  </si>
  <si>
    <t>Dry Weight (grams)</t>
  </si>
  <si>
    <t>Instructions:</t>
  </si>
  <si>
    <t>Investing with Innovation™</t>
  </si>
  <si>
    <r>
      <t>R</t>
    </r>
    <r>
      <rPr>
        <b/>
        <sz val="30"/>
        <color theme="0"/>
        <rFont val="Constantia"/>
        <family val="1"/>
        <scheme val="major"/>
      </rPr>
      <t xml:space="preserve">ANSOM &amp; </t>
    </r>
    <r>
      <rPr>
        <b/>
        <sz val="35"/>
        <color theme="0"/>
        <rFont val="Constantia"/>
        <family val="1"/>
        <scheme val="major"/>
      </rPr>
      <t>R</t>
    </r>
    <r>
      <rPr>
        <b/>
        <sz val="30"/>
        <color theme="0"/>
        <rFont val="Constantia"/>
        <family val="1"/>
        <scheme val="major"/>
      </rPr>
      <t>ANDOLPH</t>
    </r>
  </si>
  <si>
    <t>Flask Calibration</t>
  </si>
  <si>
    <t>(Lower)</t>
  </si>
  <si>
    <t>(Upper)</t>
  </si>
  <si>
    <t>Adjusted Refractory Solids</t>
  </si>
  <si>
    <t>A4</t>
  </si>
  <si>
    <t>Tear Drop Tank (300L)</t>
  </si>
  <si>
    <t>1. Select your tank type from the drop down menu in A1.</t>
  </si>
  <si>
    <t>5. If additions are required, they appear in boxed fields in sections E, F and G.</t>
  </si>
  <si>
    <r>
      <t xml:space="preserve">4. Manually enter all data in </t>
    </r>
    <r>
      <rPr>
        <b/>
        <sz val="12"/>
        <color rgb="FFFF0000"/>
        <rFont val="Franklin Gothic Book"/>
        <family val="2"/>
        <scheme val="minor"/>
      </rPr>
      <t>RED</t>
    </r>
    <r>
      <rPr>
        <sz val="12"/>
        <rFont val="Franklin Gothic Book"/>
        <family val="2"/>
        <scheme val="minor"/>
      </rPr>
      <t xml:space="preserve"> in sections H, I and J if you want the program to calculate the values </t>
    </r>
    <r>
      <rPr>
        <b/>
        <sz val="12"/>
        <rFont val="Franklin Gothic Book"/>
        <family val="2"/>
        <scheme val="minor"/>
      </rPr>
      <t>OR</t>
    </r>
    <r>
      <rPr>
        <sz val="12"/>
        <rFont val="Franklin Gothic Book"/>
        <family val="2"/>
        <scheme val="minor"/>
      </rPr>
      <t xml:space="preserve"> directly input the required values in </t>
    </r>
    <r>
      <rPr>
        <b/>
        <sz val="12"/>
        <color rgb="FF0070C0"/>
        <rFont val="Franklin Gothic Book"/>
        <family val="2"/>
        <scheme val="minor"/>
      </rPr>
      <t>BLUE</t>
    </r>
    <r>
      <rPr>
        <sz val="12"/>
        <rFont val="Franklin Gothic Book"/>
        <family val="2"/>
        <scheme val="minor"/>
      </rPr>
      <t xml:space="preserve"> in section C.</t>
    </r>
  </si>
  <si>
    <t>I4</t>
  </si>
  <si>
    <t>Slurry Density (H3 at right or direct input)</t>
  </si>
  <si>
    <t>Total Solids (I4 at right or direct input)</t>
  </si>
  <si>
    <t>F1</t>
  </si>
  <si>
    <t>Cylindrical Tank</t>
  </si>
  <si>
    <r>
      <t xml:space="preserve">2. For cylindrical tanks, enter the tank diameter and slurry depth in </t>
    </r>
    <r>
      <rPr>
        <b/>
        <sz val="12"/>
        <color rgb="FFFF9900"/>
        <rFont val="Franklin Gothic Book"/>
        <family val="2"/>
        <scheme val="minor"/>
      </rPr>
      <t>ORANGE</t>
    </r>
    <r>
      <rPr>
        <sz val="12"/>
        <rFont val="Franklin Gothic Book"/>
        <family val="2"/>
        <scheme val="minor"/>
      </rPr>
      <t xml:space="preserve"> in section A.
For tear drop tanks, enter cm from top of tank in </t>
    </r>
    <r>
      <rPr>
        <b/>
        <sz val="12"/>
        <color rgb="FFFF9900"/>
        <rFont val="Franklin Gothic Book"/>
        <family val="2"/>
        <scheme val="minor"/>
      </rPr>
      <t>ORANGE</t>
    </r>
    <r>
      <rPr>
        <sz val="12"/>
        <rFont val="Franklin Gothic Book"/>
        <family val="2"/>
        <scheme val="minor"/>
      </rPr>
      <t xml:space="preserve"> in section A.</t>
    </r>
  </si>
  <si>
    <t>Slurry Density Calculation</t>
  </si>
  <si>
    <t>Total Solids Calculation</t>
  </si>
  <si>
    <t>10 ml Flask (grams)</t>
  </si>
  <si>
    <t>10 ml + Binder (grams)</t>
  </si>
  <si>
    <t>100 ml Cylinder (grams)</t>
  </si>
  <si>
    <t>100 ml + Slurry (grams)</t>
  </si>
  <si>
    <r>
      <t>Customcote</t>
    </r>
    <r>
      <rPr>
        <b/>
        <sz val="20"/>
        <rFont val="Constantia"/>
        <family val="1"/>
      </rPr>
      <t>®</t>
    </r>
    <r>
      <rPr>
        <b/>
        <sz val="20"/>
        <rFont val="Constantia"/>
        <family val="1"/>
        <scheme val="major"/>
      </rPr>
      <t xml:space="preserve"> Binder</t>
    </r>
  </si>
  <si>
    <t>Silica Solids</t>
  </si>
  <si>
    <t>Silica Solids Difference</t>
  </si>
  <si>
    <r>
      <t xml:space="preserve">3. Enter the target silica and refractory solids in </t>
    </r>
    <r>
      <rPr>
        <b/>
        <sz val="12"/>
        <color rgb="FF00B050"/>
        <rFont val="Franklin Gothic Book"/>
        <family val="2"/>
        <scheme val="minor"/>
      </rPr>
      <t>GREEN</t>
    </r>
    <r>
      <rPr>
        <sz val="12"/>
        <rFont val="Franklin Gothic Book"/>
        <family val="2"/>
        <scheme val="minor"/>
      </rPr>
      <t xml:space="preserve"> in section B.</t>
    </r>
  </si>
  <si>
    <t>Silica Solids (recommended target 23-25)</t>
  </si>
  <si>
    <t>Issue Date: 042116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</si>
</sst>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b/>
      <sz val="12"/>
      <name val="Franklin Gothic Book"/>
      <family val="2"/>
      <scheme val="minor"/>
    </font>
    <font>
      <sz val="12"/>
      <name val="Franklin Gothic Book"/>
      <family val="2"/>
      <scheme val="minor"/>
    </font>
    <font>
      <sz val="12"/>
      <color indexed="10"/>
      <name val="Franklin Gothic Book"/>
      <family val="2"/>
      <scheme val="minor"/>
    </font>
    <font>
      <sz val="12"/>
      <color indexed="12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u/>
      <sz val="12"/>
      <name val="Franklin Gothic Book"/>
      <family val="2"/>
      <scheme val="minor"/>
    </font>
    <font>
      <b/>
      <sz val="35"/>
      <color theme="0"/>
      <name val="Constantia"/>
      <family val="1"/>
      <scheme val="major"/>
    </font>
    <font>
      <b/>
      <sz val="30"/>
      <color theme="0"/>
      <name val="Constantia"/>
      <family val="1"/>
      <scheme val="major"/>
    </font>
    <font>
      <b/>
      <sz val="20"/>
      <name val="Constantia"/>
      <family val="1"/>
      <scheme val="major"/>
    </font>
    <font>
      <sz val="14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i/>
      <sz val="14"/>
      <name val="Tahoma"/>
      <family val="2"/>
    </font>
    <font>
      <i/>
      <sz val="12"/>
      <color rgb="FF000000"/>
      <name val="Franklin Gothic Book"/>
      <family val="2"/>
    </font>
    <font>
      <b/>
      <sz val="12"/>
      <color rgb="FF0070C0"/>
      <name val="Franklin Gothic Book"/>
      <family val="2"/>
      <scheme val="minor"/>
    </font>
    <font>
      <b/>
      <sz val="12"/>
      <color rgb="FFFF0000"/>
      <name val="Franklin Gothic Book"/>
      <family val="2"/>
      <scheme val="minor"/>
    </font>
    <font>
      <b/>
      <sz val="12"/>
      <color rgb="FF00B050"/>
      <name val="Franklin Gothic Book"/>
      <family val="2"/>
      <scheme val="minor"/>
    </font>
    <font>
      <b/>
      <sz val="12"/>
      <color rgb="FFFF9900"/>
      <name val="Franklin Gothic Book"/>
      <family val="2"/>
      <scheme val="minor"/>
    </font>
    <font>
      <b/>
      <sz val="20"/>
      <name val="Constantia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3" fillId="0" borderId="0"/>
    <xf numFmtId="0" fontId="1" fillId="0" borderId="0"/>
  </cellStyleXfs>
  <cellXfs count="69">
    <xf numFmtId="0" fontId="0" fillId="0" borderId="0" xfId="0"/>
    <xf numFmtId="164" fontId="4" fillId="3" borderId="0" xfId="0" applyNumberFormat="1" applyFont="1" applyFill="1" applyAlignment="1" applyProtection="1">
      <alignment horizontal="left" vertical="center"/>
    </xf>
    <xf numFmtId="164" fontId="7" fillId="3" borderId="0" xfId="0" applyNumberFormat="1" applyFont="1" applyFill="1" applyAlignment="1" applyProtection="1">
      <alignment horizontal="left" vertical="center"/>
    </xf>
    <xf numFmtId="2" fontId="19" fillId="3" borderId="0" xfId="0" applyNumberFormat="1" applyFont="1" applyFill="1" applyBorder="1" applyAlignment="1" applyProtection="1">
      <alignment horizontal="left" vertical="center"/>
      <protection locked="0"/>
    </xf>
    <xf numFmtId="2" fontId="19" fillId="3" borderId="0" xfId="0" applyNumberFormat="1" applyFont="1" applyFill="1" applyAlignment="1" applyProtection="1">
      <alignment horizontal="left" vertical="center"/>
      <protection locked="0"/>
    </xf>
    <xf numFmtId="2" fontId="18" fillId="3" borderId="0" xfId="0" applyNumberFormat="1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</xf>
    <xf numFmtId="0" fontId="17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</xf>
    <xf numFmtId="2" fontId="4" fillId="3" borderId="0" xfId="0" applyNumberFormat="1" applyFont="1" applyFill="1" applyAlignment="1" applyProtection="1">
      <alignment horizontal="left" vertical="center"/>
    </xf>
    <xf numFmtId="164" fontId="16" fillId="3" borderId="0" xfId="0" applyNumberFormat="1" applyFont="1" applyFill="1" applyAlignment="1" applyProtection="1">
      <alignment horizontal="left" vertical="center"/>
      <protection locked="0"/>
    </xf>
    <xf numFmtId="2" fontId="16" fillId="3" borderId="0" xfId="0" applyNumberFormat="1" applyFont="1" applyFill="1" applyAlignment="1" applyProtection="1">
      <alignment horizontal="left" vertical="center"/>
      <protection locked="0"/>
    </xf>
    <xf numFmtId="2" fontId="17" fillId="3" borderId="0" xfId="0" applyNumberFormat="1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1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19" fillId="3" borderId="0" xfId="0" quotePrefix="1" applyFont="1" applyFill="1" applyAlignment="1" applyProtection="1">
      <alignment horizontal="left" vertical="center"/>
    </xf>
    <xf numFmtId="0" fontId="19" fillId="3" borderId="0" xfId="0" applyFont="1" applyFill="1" applyAlignment="1" applyProtection="1">
      <alignment horizontal="left" vertical="center"/>
    </xf>
    <xf numFmtId="0" fontId="17" fillId="3" borderId="0" xfId="0" applyFont="1" applyFill="1" applyAlignment="1" applyProtection="1">
      <alignment horizontal="left" vertical="center"/>
    </xf>
    <xf numFmtId="0" fontId="4" fillId="3" borderId="0" xfId="0" quotePrefix="1" applyFont="1" applyFill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8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16" fillId="3" borderId="0" xfId="0" quotePrefix="1" applyFont="1" applyFill="1" applyAlignment="1" applyProtection="1">
      <alignment horizontal="left" vertical="center"/>
    </xf>
    <xf numFmtId="0" fontId="16" fillId="3" borderId="0" xfId="0" applyFont="1" applyFill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17" fillId="3" borderId="0" xfId="1" applyFont="1" applyFill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2" fontId="4" fillId="3" borderId="0" xfId="0" applyNumberFormat="1" applyFont="1" applyFill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left" vertical="center"/>
    </xf>
    <xf numFmtId="0" fontId="4" fillId="3" borderId="2" xfId="1" applyFont="1" applyFill="1" applyBorder="1" applyAlignment="1" applyProtection="1">
      <alignment horizontal="center" vertical="center"/>
    </xf>
    <xf numFmtId="2" fontId="4" fillId="3" borderId="1" xfId="0" applyNumberFormat="1" applyFont="1" applyFill="1" applyBorder="1" applyAlignment="1" applyProtection="1">
      <alignment horizontal="left" vertical="center"/>
    </xf>
    <xf numFmtId="2" fontId="4" fillId="3" borderId="2" xfId="1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3" fillId="3" borderId="2" xfId="1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horizontal="left" vertical="center"/>
    </xf>
    <xf numFmtId="0" fontId="8" fillId="3" borderId="0" xfId="1" applyFont="1" applyFill="1" applyAlignment="1" applyProtection="1">
      <alignment horizontal="left" vertical="center"/>
    </xf>
    <xf numFmtId="0" fontId="4" fillId="3" borderId="0" xfId="1" applyFont="1" applyFill="1" applyAlignment="1" applyProtection="1">
      <alignment horizontal="left" vertical="center"/>
    </xf>
    <xf numFmtId="0" fontId="2" fillId="3" borderId="0" xfId="1" applyFill="1" applyAlignment="1" applyProtection="1">
      <alignment horizontal="left" vertical="center"/>
    </xf>
    <xf numFmtId="0" fontId="4" fillId="4" borderId="0" xfId="1" applyFont="1" applyFill="1" applyAlignment="1" applyProtection="1">
      <alignment horizontal="left" vertical="center"/>
    </xf>
    <xf numFmtId="0" fontId="4" fillId="3" borderId="0" xfId="0" applyFont="1" applyFill="1" applyAlignment="1" applyProtection="1">
      <alignment vertical="center" wrapText="1"/>
    </xf>
    <xf numFmtId="0" fontId="15" fillId="3" borderId="0" xfId="1" applyFont="1" applyFill="1" applyAlignment="1" applyProtection="1">
      <alignment horizontal="left" vertical="center"/>
    </xf>
    <xf numFmtId="0" fontId="14" fillId="3" borderId="0" xfId="1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center" vertical="center"/>
    </xf>
    <xf numFmtId="2" fontId="4" fillId="3" borderId="0" xfId="0" applyNumberFormat="1" applyFont="1" applyFill="1" applyAlignment="1" applyProtection="1">
      <alignment horizontal="left" vertical="center"/>
      <protection locked="0"/>
    </xf>
    <xf numFmtId="2" fontId="17" fillId="3" borderId="0" xfId="1" applyNumberFormat="1" applyFont="1" applyFill="1" applyAlignment="1" applyProtection="1">
      <alignment horizontal="left" vertical="center"/>
      <protection locked="0"/>
    </xf>
    <xf numFmtId="0" fontId="19" fillId="3" borderId="0" xfId="0" applyFont="1" applyFill="1" applyAlignment="1" applyProtection="1">
      <alignment horizontal="left" vertical="center"/>
      <protection locked="0"/>
    </xf>
    <xf numFmtId="0" fontId="9" fillId="5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0" fontId="3" fillId="3" borderId="7" xfId="1" applyFont="1" applyFill="1" applyBorder="1" applyAlignment="1" applyProtection="1">
      <alignment horizontal="center" vertical="center"/>
    </xf>
    <xf numFmtId="0" fontId="3" fillId="3" borderId="8" xfId="1" applyFont="1" applyFill="1" applyBorder="1" applyAlignment="1" applyProtection="1">
      <alignment horizontal="center" vertical="center"/>
    </xf>
    <xf numFmtId="0" fontId="3" fillId="3" borderId="10" xfId="1" applyFont="1" applyFill="1" applyBorder="1" applyAlignment="1" applyProtection="1">
      <alignment horizontal="center" vertical="center"/>
    </xf>
    <xf numFmtId="0" fontId="3" fillId="3" borderId="4" xfId="1" applyFont="1" applyFill="1" applyBorder="1" applyAlignment="1" applyProtection="1">
      <alignment horizontal="center" vertical="center"/>
    </xf>
    <xf numFmtId="0" fontId="4" fillId="3" borderId="0" xfId="1" applyFont="1" applyFill="1" applyAlignment="1" applyProtection="1">
      <alignment horizontal="left" vertical="center" wrapText="1"/>
    </xf>
    <xf numFmtId="0" fontId="4" fillId="3" borderId="0" xfId="0" applyFont="1" applyFill="1" applyAlignment="1" applyProtection="1">
      <alignment horizontal="left" vertical="center" wrapText="1"/>
    </xf>
    <xf numFmtId="0" fontId="3" fillId="3" borderId="5" xfId="1" applyFont="1" applyFill="1" applyBorder="1" applyAlignment="1" applyProtection="1">
      <alignment horizontal="center" vertical="center"/>
    </xf>
    <xf numFmtId="0" fontId="3" fillId="3" borderId="6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3" fillId="3" borderId="9" xfId="1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2"/>
    <cellStyle name="Normal 2 2" xfId="3"/>
    <cellStyle name="Normal 3" xfId="1"/>
  </cellStyles>
  <dxfs count="4">
    <dxf>
      <font>
        <b/>
        <i val="0"/>
      </font>
      <fill>
        <patternFill>
          <bgColor theme="0" tint="-0.14996795556505021"/>
        </patternFill>
      </fill>
    </dxf>
    <dxf>
      <font>
        <color theme="0"/>
      </font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794</xdr:colOff>
      <xdr:row>0</xdr:row>
      <xdr:rowOff>285703</xdr:rowOff>
    </xdr:from>
    <xdr:to>
      <xdr:col>2</xdr:col>
      <xdr:colOff>924719</xdr:colOff>
      <xdr:row>6</xdr:row>
      <xdr:rowOff>123778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94" y="285703"/>
          <a:ext cx="1304925" cy="183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&amp;R">
      <a:dk1>
        <a:sysClr val="windowText" lastClr="000000"/>
      </a:dk1>
      <a:lt1>
        <a:sysClr val="window" lastClr="FFFFFF"/>
      </a:lt1>
      <a:dk2>
        <a:srgbClr val="7F7F7F"/>
      </a:dk2>
      <a:lt2>
        <a:srgbClr val="EEECE1"/>
      </a:lt2>
      <a:accent1>
        <a:srgbClr val="D5822F"/>
      </a:accent1>
      <a:accent2>
        <a:srgbClr val="AF2C30"/>
      </a:accent2>
      <a:accent3>
        <a:srgbClr val="F2B923"/>
      </a:accent3>
      <a:accent4>
        <a:srgbClr val="D5822F"/>
      </a:accent4>
      <a:accent5>
        <a:srgbClr val="AF2C30"/>
      </a:accent5>
      <a:accent6>
        <a:srgbClr val="F2B923"/>
      </a:accent6>
      <a:hlink>
        <a:srgbClr val="AF2C30"/>
      </a:hlink>
      <a:folHlink>
        <a:srgbClr val="AF2C30"/>
      </a:folHlink>
    </a:clrScheme>
    <a:fontScheme name="R&amp;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zoomScale="80" zoomScaleNormal="80" workbookViewId="0">
      <selection activeCell="D12" sqref="D12"/>
    </sheetView>
  </sheetViews>
  <sheetFormatPr defaultColWidth="0" defaultRowHeight="16.5" zeroHeight="1" x14ac:dyDescent="0.2"/>
  <cols>
    <col min="1" max="1" width="5.7109375" style="51" customWidth="1"/>
    <col min="2" max="2" width="5.7109375" style="13" customWidth="1"/>
    <col min="3" max="3" width="62" style="13" customWidth="1"/>
    <col min="4" max="4" width="10.7109375" style="13" customWidth="1"/>
    <col min="5" max="5" width="13.28515625" style="13" customWidth="1"/>
    <col min="6" max="6" width="5.7109375" style="18" customWidth="1"/>
    <col min="7" max="7" width="5.7109375" style="13" customWidth="1"/>
    <col min="8" max="8" width="34.7109375" style="13" customWidth="1"/>
    <col min="9" max="12" width="10.7109375" style="13" customWidth="1"/>
    <col min="13" max="16384" width="0" style="13" hidden="1"/>
  </cols>
  <sheetData>
    <row r="1" spans="1:12" ht="45.75" customHeight="1" x14ac:dyDescent="0.2">
      <c r="A1" s="55" t="s">
        <v>73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6.25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26.25" customHeight="1" x14ac:dyDescent="0.2">
      <c r="A3" s="57" t="s">
        <v>95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19.5" customHeight="1" x14ac:dyDescent="0.2">
      <c r="A4" s="58" t="s">
        <v>11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9.5" customHeight="1" x14ac:dyDescent="0.2">
      <c r="A5" s="58" t="s">
        <v>12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19.5" customHeight="1" x14ac:dyDescent="0.2">
      <c r="A6" s="14"/>
      <c r="B6" s="15"/>
      <c r="C6" s="15"/>
      <c r="D6" s="15"/>
      <c r="E6" s="15"/>
      <c r="F6" s="6"/>
      <c r="G6" s="15"/>
      <c r="H6" s="15"/>
      <c r="I6" s="14"/>
      <c r="J6" s="15"/>
      <c r="K6" s="15"/>
      <c r="L6" s="15"/>
    </row>
    <row r="7" spans="1:12" ht="19.5" customHeight="1" x14ac:dyDescent="0.2">
      <c r="A7" s="14"/>
      <c r="B7" s="15"/>
      <c r="C7" s="15"/>
      <c r="D7" s="15"/>
      <c r="E7" s="15"/>
      <c r="F7" s="6"/>
      <c r="G7" s="15"/>
      <c r="H7" s="15"/>
      <c r="I7" s="14"/>
      <c r="J7" s="15"/>
      <c r="K7" s="15"/>
      <c r="L7" s="15"/>
    </row>
    <row r="8" spans="1:12" ht="19.5" hidden="1" customHeight="1" x14ac:dyDescent="0.2">
      <c r="A8" s="14"/>
      <c r="B8" s="15"/>
      <c r="C8" s="6" t="s">
        <v>87</v>
      </c>
      <c r="D8" s="15"/>
      <c r="E8" s="15"/>
      <c r="F8" s="6"/>
      <c r="G8" s="15"/>
      <c r="H8" s="15"/>
      <c r="I8" s="14"/>
      <c r="J8" s="15"/>
      <c r="K8" s="15"/>
      <c r="L8" s="15"/>
    </row>
    <row r="9" spans="1:12" ht="19.5" hidden="1" customHeight="1" x14ac:dyDescent="0.2">
      <c r="A9" s="14"/>
      <c r="B9" s="15"/>
      <c r="C9" s="6" t="s">
        <v>79</v>
      </c>
      <c r="D9" s="15"/>
      <c r="E9" s="15"/>
      <c r="F9" s="6"/>
      <c r="G9" s="15"/>
      <c r="H9" s="15"/>
      <c r="I9" s="14"/>
      <c r="J9" s="15"/>
      <c r="K9" s="15"/>
      <c r="L9" s="15"/>
    </row>
    <row r="10" spans="1:12" ht="19.5" customHeight="1" x14ac:dyDescent="0.2">
      <c r="A10" s="14" t="s">
        <v>0</v>
      </c>
      <c r="B10" s="16" t="s">
        <v>16</v>
      </c>
      <c r="C10" s="16"/>
      <c r="D10" s="15"/>
      <c r="E10" s="15"/>
      <c r="F10" s="14" t="s">
        <v>13</v>
      </c>
      <c r="G10" s="17" t="s">
        <v>89</v>
      </c>
      <c r="H10" s="6"/>
      <c r="I10" s="14"/>
      <c r="J10" s="15"/>
      <c r="K10" s="15"/>
      <c r="L10" s="15"/>
    </row>
    <row r="11" spans="1:12" s="18" customFormat="1" x14ac:dyDescent="0.2">
      <c r="B11" s="19" t="s">
        <v>17</v>
      </c>
      <c r="C11" s="54" t="s">
        <v>87</v>
      </c>
      <c r="D11" s="6"/>
      <c r="E11" s="6"/>
      <c r="G11" s="21" t="s">
        <v>54</v>
      </c>
      <c r="H11" s="21" t="s">
        <v>93</v>
      </c>
      <c r="I11" s="12">
        <v>155</v>
      </c>
      <c r="J11" s="6"/>
      <c r="K11" s="6"/>
      <c r="L11" s="6"/>
    </row>
    <row r="12" spans="1:12" s="18" customFormat="1" x14ac:dyDescent="0.2">
      <c r="A12" s="14"/>
      <c r="B12" s="19" t="s">
        <v>18</v>
      </c>
      <c r="C12" s="20" t="str">
        <f>IF(C11="Cylindrical Tank", "Tank Diameter (cm)", "")</f>
        <v>Tank Diameter (cm)</v>
      </c>
      <c r="D12" s="3">
        <v>25.4</v>
      </c>
      <c r="E12" s="6"/>
      <c r="F12" s="15"/>
      <c r="G12" s="21" t="s">
        <v>55</v>
      </c>
      <c r="H12" s="21" t="s">
        <v>94</v>
      </c>
      <c r="I12" s="12">
        <v>314.61</v>
      </c>
      <c r="J12" s="6"/>
      <c r="K12" s="6"/>
      <c r="L12" s="8"/>
    </row>
    <row r="13" spans="1:12" s="18" customFormat="1" x14ac:dyDescent="0.2">
      <c r="A13" s="14"/>
      <c r="B13" s="19" t="s">
        <v>19</v>
      </c>
      <c r="C13" s="20" t="str">
        <f>IF(C11="Cylindrical Tank", "Slurry Depth (cm)", "cm from Top of Tank")</f>
        <v>Slurry Depth (cm)</v>
      </c>
      <c r="D13" s="4">
        <v>19.75</v>
      </c>
      <c r="E13" s="6"/>
      <c r="F13" s="15"/>
      <c r="G13" s="6" t="s">
        <v>56</v>
      </c>
      <c r="H13" s="6" t="s">
        <v>66</v>
      </c>
      <c r="I13" s="9">
        <f>+(I12-I11)/100</f>
        <v>1.5961000000000001</v>
      </c>
      <c r="J13" s="6"/>
      <c r="K13" s="6"/>
      <c r="L13" s="8"/>
    </row>
    <row r="14" spans="1:12" s="18" customFormat="1" x14ac:dyDescent="0.2">
      <c r="A14" s="14"/>
      <c r="B14" s="22" t="s">
        <v>78</v>
      </c>
      <c r="C14" s="6" t="s">
        <v>23</v>
      </c>
      <c r="D14" s="52">
        <f>IF(C11="Cylindrical Tank", (POWER(D12/2,2)*D13* 3.14)/1000)+IF(C11="Tear Drop Tank (300L)", (0.0278*D13*D13-6.323*D13+341.43))</f>
        <v>10.002399349999999</v>
      </c>
      <c r="E14" s="23"/>
      <c r="F14" s="14" t="s">
        <v>14</v>
      </c>
      <c r="G14" s="17" t="s">
        <v>90</v>
      </c>
      <c r="H14" s="6"/>
      <c r="J14" s="6"/>
      <c r="K14" s="6"/>
      <c r="L14" s="8"/>
    </row>
    <row r="15" spans="1:12" s="18" customFormat="1" x14ac:dyDescent="0.2">
      <c r="A15" s="14" t="s">
        <v>1</v>
      </c>
      <c r="B15" s="17" t="s">
        <v>20</v>
      </c>
      <c r="C15" s="6"/>
      <c r="D15" s="9"/>
      <c r="E15" s="24"/>
      <c r="G15" s="21" t="s">
        <v>57</v>
      </c>
      <c r="H15" s="21" t="s">
        <v>68</v>
      </c>
      <c r="I15" s="7">
        <v>0.44</v>
      </c>
      <c r="J15" s="8"/>
      <c r="K15" s="6"/>
      <c r="L15" s="9"/>
    </row>
    <row r="16" spans="1:12" s="18" customFormat="1" x14ac:dyDescent="0.2">
      <c r="A16" s="14"/>
      <c r="B16" s="25" t="s">
        <v>21</v>
      </c>
      <c r="C16" s="25" t="s">
        <v>99</v>
      </c>
      <c r="D16" s="5">
        <v>24</v>
      </c>
      <c r="E16" s="8"/>
      <c r="G16" s="21" t="s">
        <v>58</v>
      </c>
      <c r="H16" s="21" t="s">
        <v>69</v>
      </c>
      <c r="I16" s="7">
        <v>10.17</v>
      </c>
      <c r="J16" s="6"/>
      <c r="K16" s="6"/>
      <c r="L16" s="6"/>
    </row>
    <row r="17" spans="1:12" s="18" customFormat="1" x14ac:dyDescent="0.2">
      <c r="A17" s="14"/>
      <c r="B17" s="25" t="s">
        <v>22</v>
      </c>
      <c r="C17" s="25" t="s">
        <v>8</v>
      </c>
      <c r="D17" s="5">
        <v>64</v>
      </c>
      <c r="E17" s="8"/>
      <c r="F17" s="26"/>
      <c r="G17" s="21" t="s">
        <v>59</v>
      </c>
      <c r="H17" s="21" t="s">
        <v>70</v>
      </c>
      <c r="I17" s="12">
        <v>7.5</v>
      </c>
      <c r="J17" s="6"/>
      <c r="K17" s="6"/>
      <c r="L17" s="6"/>
    </row>
    <row r="18" spans="1:12" s="18" customFormat="1" x14ac:dyDescent="0.2">
      <c r="A18" s="14" t="s">
        <v>24</v>
      </c>
      <c r="B18" s="17" t="s">
        <v>25</v>
      </c>
      <c r="C18" s="6"/>
      <c r="D18" s="9" t="s">
        <v>9</v>
      </c>
      <c r="E18" s="23"/>
      <c r="F18" s="27"/>
      <c r="G18" s="6" t="s">
        <v>83</v>
      </c>
      <c r="H18" s="6" t="s">
        <v>64</v>
      </c>
      <c r="I18" s="9">
        <f>100-((($I$16-$I$17)/($I$16-$I$15))*100)</f>
        <v>72.559095580678317</v>
      </c>
      <c r="J18" s="8"/>
      <c r="K18" s="6"/>
      <c r="L18" s="8"/>
    </row>
    <row r="19" spans="1:12" s="18" customFormat="1" x14ac:dyDescent="0.2">
      <c r="A19" s="14"/>
      <c r="B19" s="28" t="s">
        <v>26</v>
      </c>
      <c r="C19" s="29" t="s">
        <v>84</v>
      </c>
      <c r="D19" s="11">
        <f>I13</f>
        <v>1.5961000000000001</v>
      </c>
      <c r="E19" s="30"/>
      <c r="F19" s="31" t="s">
        <v>15</v>
      </c>
      <c r="G19" s="17" t="s">
        <v>65</v>
      </c>
      <c r="H19" s="6"/>
      <c r="J19" s="8"/>
      <c r="K19" s="6"/>
      <c r="L19" s="8"/>
    </row>
    <row r="20" spans="1:12" s="18" customFormat="1" x14ac:dyDescent="0.2">
      <c r="A20" s="14"/>
      <c r="B20" s="28" t="s">
        <v>27</v>
      </c>
      <c r="C20" s="29" t="s">
        <v>85</v>
      </c>
      <c r="D20" s="11">
        <f>I18</f>
        <v>72.559095580678317</v>
      </c>
      <c r="E20" s="30"/>
      <c r="G20" s="21" t="s">
        <v>60</v>
      </c>
      <c r="H20" s="21" t="s">
        <v>91</v>
      </c>
      <c r="I20" s="7">
        <v>9.4499999999999993</v>
      </c>
      <c r="J20" s="6"/>
      <c r="K20" s="6"/>
      <c r="L20" s="1"/>
    </row>
    <row r="21" spans="1:12" s="18" customFormat="1" x14ac:dyDescent="0.2">
      <c r="A21" s="14"/>
      <c r="B21" s="28" t="s">
        <v>28</v>
      </c>
      <c r="C21" s="29" t="s">
        <v>31</v>
      </c>
      <c r="D21" s="10">
        <f>I23</f>
        <v>1.17</v>
      </c>
      <c r="E21" s="30"/>
      <c r="F21" s="32"/>
      <c r="G21" s="21" t="s">
        <v>61</v>
      </c>
      <c r="H21" s="21" t="s">
        <v>92</v>
      </c>
      <c r="I21" s="12">
        <v>21.15</v>
      </c>
      <c r="J21" s="6"/>
      <c r="K21" s="6"/>
      <c r="L21" s="6"/>
    </row>
    <row r="22" spans="1:12" s="18" customFormat="1" x14ac:dyDescent="0.2">
      <c r="A22" s="14"/>
      <c r="B22" s="22" t="s">
        <v>29</v>
      </c>
      <c r="C22" s="6" t="s">
        <v>96</v>
      </c>
      <c r="D22" s="9">
        <f>134.94*D21 - 132.21</f>
        <v>25.669799999999981</v>
      </c>
      <c r="E22" s="23"/>
      <c r="F22" s="27"/>
      <c r="G22" s="21" t="s">
        <v>62</v>
      </c>
      <c r="H22" s="33" t="s">
        <v>74</v>
      </c>
      <c r="I22" s="53">
        <v>10</v>
      </c>
      <c r="J22" s="6"/>
      <c r="K22" s="6"/>
      <c r="L22" s="6"/>
    </row>
    <row r="23" spans="1:12" s="18" customFormat="1" x14ac:dyDescent="0.2">
      <c r="A23" s="14" t="s">
        <v>2</v>
      </c>
      <c r="B23" s="17" t="s">
        <v>30</v>
      </c>
      <c r="C23" s="6"/>
      <c r="D23" s="9"/>
      <c r="E23" s="23"/>
      <c r="F23" s="27"/>
      <c r="G23" s="6" t="s">
        <v>63</v>
      </c>
      <c r="H23" s="6" t="s">
        <v>67</v>
      </c>
      <c r="I23" s="2">
        <f>+($I$21-$I$20)/I22</f>
        <v>1.17</v>
      </c>
      <c r="J23" s="8"/>
      <c r="K23" s="6"/>
      <c r="L23" s="8"/>
    </row>
    <row r="24" spans="1:12" s="18" customFormat="1" hidden="1" x14ac:dyDescent="0.2">
      <c r="A24" s="14"/>
      <c r="B24" s="6"/>
      <c r="C24" s="22" t="s">
        <v>32</v>
      </c>
      <c r="D24" s="9">
        <f>D19*D14</f>
        <v>15.964829602535</v>
      </c>
      <c r="E24" s="23"/>
      <c r="F24" s="27"/>
      <c r="G24" s="6"/>
      <c r="H24" s="6"/>
      <c r="I24" s="8"/>
      <c r="J24" s="8"/>
      <c r="K24" s="6"/>
      <c r="L24" s="8"/>
    </row>
    <row r="25" spans="1:12" s="18" customFormat="1" hidden="1" x14ac:dyDescent="0.2">
      <c r="A25" s="14"/>
      <c r="B25" s="6"/>
      <c r="C25" s="22" t="s">
        <v>33</v>
      </c>
      <c r="D25" s="9">
        <f>100-D20</f>
        <v>27.440904419321683</v>
      </c>
      <c r="E25" s="23"/>
      <c r="F25" s="27"/>
      <c r="G25" s="6"/>
      <c r="H25" s="6"/>
      <c r="I25" s="6"/>
      <c r="J25" s="6"/>
      <c r="K25" s="6"/>
      <c r="L25" s="2"/>
    </row>
    <row r="26" spans="1:12" s="18" customFormat="1" hidden="1" x14ac:dyDescent="0.2">
      <c r="A26" s="14"/>
      <c r="B26" s="6"/>
      <c r="C26" s="22" t="s">
        <v>34</v>
      </c>
      <c r="D26" s="9">
        <f>(D25/(100-D22))*100</f>
        <v>36.917571080559014</v>
      </c>
      <c r="E26" s="23"/>
      <c r="F26" s="27"/>
      <c r="G26" s="6"/>
      <c r="H26" s="6"/>
      <c r="I26" s="6"/>
      <c r="J26" s="6"/>
      <c r="K26" s="6"/>
      <c r="L26" s="6"/>
    </row>
    <row r="27" spans="1:12" s="18" customFormat="1" hidden="1" x14ac:dyDescent="0.2">
      <c r="A27" s="14"/>
      <c r="B27" s="6"/>
      <c r="C27" s="22" t="s">
        <v>35</v>
      </c>
      <c r="D27" s="9">
        <f>(D24*D26)/100</f>
        <v>5.8938273164059858</v>
      </c>
      <c r="E27" s="23"/>
      <c r="F27" s="27"/>
      <c r="G27" s="6"/>
      <c r="H27" s="6"/>
      <c r="I27" s="34"/>
      <c r="J27" s="34"/>
      <c r="K27" s="34"/>
      <c r="L27" s="34"/>
    </row>
    <row r="28" spans="1:12" s="18" customFormat="1" hidden="1" x14ac:dyDescent="0.2">
      <c r="A28" s="14"/>
      <c r="B28" s="6"/>
      <c r="C28" s="22" t="s">
        <v>34</v>
      </c>
      <c r="D28" s="9">
        <f>(D26/1)</f>
        <v>36.917571080559014</v>
      </c>
      <c r="E28" s="23"/>
      <c r="F28" s="27"/>
      <c r="G28" s="6"/>
      <c r="H28" s="6"/>
      <c r="I28" s="23"/>
      <c r="J28" s="23"/>
      <c r="K28" s="23"/>
      <c r="L28" s="23"/>
    </row>
    <row r="29" spans="1:12" s="18" customFormat="1" hidden="1" x14ac:dyDescent="0.2">
      <c r="A29" s="14"/>
      <c r="B29" s="6"/>
      <c r="C29" s="22" t="s">
        <v>36</v>
      </c>
      <c r="D29" s="9">
        <f>(D24*D28)/100</f>
        <v>5.8938273164059858</v>
      </c>
      <c r="E29" s="23"/>
      <c r="F29" s="27"/>
      <c r="G29" s="6"/>
      <c r="H29" s="6"/>
      <c r="I29" s="34"/>
      <c r="J29" s="35"/>
      <c r="K29" s="35"/>
      <c r="L29" s="35"/>
    </row>
    <row r="30" spans="1:12" s="18" customFormat="1" x14ac:dyDescent="0.2">
      <c r="A30" s="14"/>
      <c r="B30" s="6" t="s">
        <v>37</v>
      </c>
      <c r="C30" s="22" t="s">
        <v>8</v>
      </c>
      <c r="D30" s="9">
        <f>100-D28</f>
        <v>63.082428919440986</v>
      </c>
      <c r="E30" s="23"/>
      <c r="F30" s="27"/>
      <c r="J30" s="35"/>
      <c r="K30" s="35"/>
      <c r="L30" s="35"/>
    </row>
    <row r="31" spans="1:12" s="18" customFormat="1" x14ac:dyDescent="0.2">
      <c r="A31" s="14" t="s">
        <v>3</v>
      </c>
      <c r="B31" s="17" t="s">
        <v>38</v>
      </c>
      <c r="C31" s="6"/>
      <c r="D31" s="9"/>
      <c r="E31" s="23"/>
      <c r="F31" s="27"/>
      <c r="G31" s="65" t="s">
        <v>5</v>
      </c>
      <c r="H31" s="66"/>
      <c r="I31" s="59" t="s">
        <v>6</v>
      </c>
      <c r="J31" s="60"/>
      <c r="K31" s="61" t="s">
        <v>7</v>
      </c>
      <c r="L31" s="36"/>
    </row>
    <row r="32" spans="1:12" s="18" customFormat="1" ht="17.25" thickBot="1" x14ac:dyDescent="0.25">
      <c r="A32" s="14"/>
      <c r="B32" s="22" t="s">
        <v>39</v>
      </c>
      <c r="C32" s="6" t="s">
        <v>97</v>
      </c>
      <c r="D32" s="9">
        <f>D22-D16</f>
        <v>1.6697999999999809</v>
      </c>
      <c r="E32" s="23"/>
      <c r="F32" s="23"/>
      <c r="G32" s="67"/>
      <c r="H32" s="68"/>
      <c r="I32" s="37" t="s">
        <v>75</v>
      </c>
      <c r="J32" s="37" t="s">
        <v>76</v>
      </c>
      <c r="K32" s="62"/>
      <c r="L32" s="36"/>
    </row>
    <row r="33" spans="1:12" s="18" customFormat="1" ht="17.25" customHeight="1" thickBot="1" x14ac:dyDescent="0.25">
      <c r="A33" s="14"/>
      <c r="B33" s="22" t="s">
        <v>40</v>
      </c>
      <c r="C33" s="6" t="s">
        <v>41</v>
      </c>
      <c r="D33" s="38">
        <f>IF(D32&gt;1,(D32*D27)/D16,0)</f>
        <v>0.4100630355389418</v>
      </c>
      <c r="E33" s="23">
        <f>IF(D32&lt;-1, "Evaporate", 0)</f>
        <v>0</v>
      </c>
      <c r="F33" s="23"/>
      <c r="G33" s="59" t="s">
        <v>96</v>
      </c>
      <c r="H33" s="60"/>
      <c r="I33" s="39">
        <f>D16-1</f>
        <v>23</v>
      </c>
      <c r="J33" s="39">
        <f>D16+1</f>
        <v>25</v>
      </c>
      <c r="K33" s="39">
        <f>D22</f>
        <v>25.669799999999981</v>
      </c>
      <c r="L33" s="40"/>
    </row>
    <row r="34" spans="1:12" s="18" customFormat="1" hidden="1" x14ac:dyDescent="0.2">
      <c r="A34" s="14"/>
      <c r="B34" s="22"/>
      <c r="C34" s="6" t="s">
        <v>43</v>
      </c>
      <c r="D34" s="9">
        <f>D24+D33</f>
        <v>16.374892638073941</v>
      </c>
      <c r="E34" s="23"/>
      <c r="F34" s="23"/>
      <c r="G34" s="41"/>
      <c r="H34" s="41"/>
      <c r="I34" s="41"/>
      <c r="J34" s="41"/>
      <c r="K34" s="41"/>
      <c r="L34" s="40"/>
    </row>
    <row r="35" spans="1:12" s="18" customFormat="1" hidden="1" x14ac:dyDescent="0.2">
      <c r="A35" s="14"/>
      <c r="B35" s="6"/>
      <c r="C35" s="22" t="s">
        <v>44</v>
      </c>
      <c r="D35" s="9">
        <f>D29+D33</f>
        <v>6.3038903519449274</v>
      </c>
      <c r="E35" s="23"/>
      <c r="F35" s="23"/>
      <c r="G35" s="42"/>
      <c r="H35" s="42"/>
      <c r="I35" s="37"/>
      <c r="J35" s="37"/>
      <c r="K35" s="37"/>
      <c r="L35" s="36"/>
    </row>
    <row r="36" spans="1:12" s="18" customFormat="1" hidden="1" x14ac:dyDescent="0.2">
      <c r="A36" s="14"/>
      <c r="B36" s="6"/>
      <c r="C36" s="22" t="s">
        <v>45</v>
      </c>
      <c r="D36" s="9">
        <f>(D35/D34)*100</f>
        <v>38.497292722930538</v>
      </c>
      <c r="E36" s="23"/>
      <c r="F36" s="23"/>
      <c r="G36" s="42"/>
      <c r="H36" s="42"/>
      <c r="I36" s="37"/>
      <c r="J36" s="37"/>
      <c r="K36" s="37"/>
      <c r="L36" s="36"/>
    </row>
    <row r="37" spans="1:12" s="18" customFormat="1" x14ac:dyDescent="0.2">
      <c r="A37" s="14"/>
      <c r="B37" s="22" t="s">
        <v>42</v>
      </c>
      <c r="C37" s="6" t="s">
        <v>77</v>
      </c>
      <c r="D37" s="9">
        <f>100-D36</f>
        <v>61.502707277069462</v>
      </c>
      <c r="E37" s="23"/>
      <c r="F37" s="23"/>
      <c r="G37" s="59" t="s">
        <v>8</v>
      </c>
      <c r="H37" s="60"/>
      <c r="I37" s="39">
        <f>D17-1</f>
        <v>63</v>
      </c>
      <c r="J37" s="39">
        <f>D17+1</f>
        <v>65</v>
      </c>
      <c r="K37" s="39">
        <f>D30</f>
        <v>63.082428919440986</v>
      </c>
      <c r="L37" s="36"/>
    </row>
    <row r="38" spans="1:12" s="18" customFormat="1" x14ac:dyDescent="0.2">
      <c r="A38" s="14" t="s">
        <v>4</v>
      </c>
      <c r="B38" s="17" t="s">
        <v>46</v>
      </c>
      <c r="C38" s="6"/>
      <c r="D38" s="9"/>
      <c r="E38" s="6"/>
      <c r="F38" s="6"/>
      <c r="L38" s="43"/>
    </row>
    <row r="39" spans="1:12" s="18" customFormat="1" ht="17.25" thickBot="1" x14ac:dyDescent="0.25">
      <c r="A39" s="14"/>
      <c r="B39" s="22" t="s">
        <v>86</v>
      </c>
      <c r="C39" s="6" t="s">
        <v>48</v>
      </c>
      <c r="D39" s="9">
        <f>D37/D17</f>
        <v>0.96097980120421034</v>
      </c>
      <c r="E39" s="6"/>
      <c r="F39" s="6"/>
      <c r="G39" s="6"/>
      <c r="H39" s="6"/>
      <c r="I39" s="6"/>
      <c r="J39" s="6"/>
      <c r="K39" s="6"/>
      <c r="L39" s="6"/>
    </row>
    <row r="40" spans="1:12" s="18" customFormat="1" ht="17.25" thickBot="1" x14ac:dyDescent="0.25">
      <c r="A40" s="14"/>
      <c r="B40" s="22" t="s">
        <v>47</v>
      </c>
      <c r="C40" s="6" t="s">
        <v>49</v>
      </c>
      <c r="D40" s="38">
        <f>IF(D36&lt;(100-D17)-1,(D39-1)*D34,0)</f>
        <v>0</v>
      </c>
      <c r="E40" s="6"/>
      <c r="F40" s="44" t="s">
        <v>71</v>
      </c>
      <c r="G40" s="45"/>
      <c r="H40" s="46"/>
      <c r="I40" s="46"/>
      <c r="J40" s="46"/>
      <c r="K40" s="46"/>
      <c r="L40" s="46"/>
    </row>
    <row r="41" spans="1:12" s="18" customFormat="1" x14ac:dyDescent="0.2">
      <c r="A41" s="14" t="s">
        <v>10</v>
      </c>
      <c r="B41" s="17" t="s">
        <v>50</v>
      </c>
      <c r="C41" s="6"/>
      <c r="D41" s="9"/>
      <c r="E41" s="6"/>
      <c r="F41" s="6" t="s">
        <v>80</v>
      </c>
      <c r="G41" s="45"/>
      <c r="H41" s="17"/>
      <c r="I41" s="47"/>
      <c r="J41" s="47"/>
      <c r="K41" s="47"/>
      <c r="L41" s="47"/>
    </row>
    <row r="42" spans="1:12" s="63" customFormat="1" ht="17.25" thickBot="1" x14ac:dyDescent="0.25">
      <c r="A42" s="14"/>
      <c r="B42" s="22" t="s">
        <v>51</v>
      </c>
      <c r="C42" s="6" t="s">
        <v>48</v>
      </c>
      <c r="D42" s="9">
        <f>D36/(100-D17)</f>
        <v>1.0693692423036261</v>
      </c>
      <c r="E42" s="6"/>
      <c r="F42" s="63" t="s">
        <v>88</v>
      </c>
    </row>
    <row r="43" spans="1:12" s="63" customFormat="1" ht="17.25" customHeight="1" thickBot="1" x14ac:dyDescent="0.25">
      <c r="A43" s="14"/>
      <c r="B43" s="22" t="s">
        <v>52</v>
      </c>
      <c r="C43" s="6" t="s">
        <v>53</v>
      </c>
      <c r="D43" s="38">
        <f>IF(D37&lt;D17-1,(D42-1)*D34,0)</f>
        <v>1.1359138951064138</v>
      </c>
      <c r="E43" s="6"/>
    </row>
    <row r="44" spans="1:12" s="18" customFormat="1" x14ac:dyDescent="0.2">
      <c r="A44" s="14"/>
      <c r="B44" s="6"/>
      <c r="C44" s="6"/>
      <c r="D44" s="6"/>
      <c r="E44" s="6"/>
      <c r="F44" s="6" t="s">
        <v>98</v>
      </c>
      <c r="G44" s="48"/>
      <c r="H44" s="48"/>
      <c r="I44" s="48"/>
      <c r="J44" s="48"/>
      <c r="K44" s="48"/>
      <c r="L44" s="48"/>
    </row>
    <row r="45" spans="1:12" s="18" customFormat="1" ht="16.5" customHeight="1" x14ac:dyDescent="0.2">
      <c r="A45" s="14"/>
      <c r="B45" s="6"/>
      <c r="C45" s="6"/>
      <c r="D45" s="6"/>
      <c r="E45" s="6"/>
      <c r="F45" s="64" t="s">
        <v>82</v>
      </c>
      <c r="G45" s="64"/>
      <c r="H45" s="64"/>
      <c r="I45" s="64"/>
      <c r="J45" s="64"/>
      <c r="K45" s="64"/>
      <c r="L45" s="64"/>
    </row>
    <row r="46" spans="1:12" s="18" customFormat="1" x14ac:dyDescent="0.2">
      <c r="A46" s="14"/>
      <c r="B46" s="6"/>
      <c r="C46" s="6"/>
      <c r="D46" s="6"/>
      <c r="E46" s="6"/>
      <c r="F46" s="64"/>
      <c r="G46" s="64"/>
      <c r="H46" s="64"/>
      <c r="I46" s="64"/>
      <c r="J46" s="64"/>
      <c r="K46" s="64"/>
      <c r="L46" s="64"/>
    </row>
    <row r="47" spans="1:12" s="18" customFormat="1" x14ac:dyDescent="0.2">
      <c r="A47" s="14"/>
      <c r="B47" s="6"/>
      <c r="C47" s="6"/>
      <c r="D47" s="6"/>
      <c r="E47" s="6"/>
      <c r="F47" s="43" t="s">
        <v>81</v>
      </c>
      <c r="G47" s="6"/>
      <c r="H47" s="16"/>
      <c r="I47" s="6"/>
      <c r="J47" s="6"/>
      <c r="K47" s="6"/>
      <c r="L47" s="6"/>
    </row>
    <row r="48" spans="1:12" s="18" customFormat="1" x14ac:dyDescent="0.2">
      <c r="A48" s="1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s="18" customFormat="1" ht="18" x14ac:dyDescent="0.2">
      <c r="A49" s="49" t="s">
        <v>100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50" t="s">
        <v>72</v>
      </c>
    </row>
  </sheetData>
  <sheetProtection password="DA71" sheet="1" objects="1" scenarios="1" selectLockedCells="1"/>
  <mergeCells count="12">
    <mergeCell ref="G33:H33"/>
    <mergeCell ref="I31:J31"/>
    <mergeCell ref="K31:K32"/>
    <mergeCell ref="F42:XFD43"/>
    <mergeCell ref="F45:L46"/>
    <mergeCell ref="G37:H37"/>
    <mergeCell ref="G31:H32"/>
    <mergeCell ref="A1:L1"/>
    <mergeCell ref="A2:L2"/>
    <mergeCell ref="A3:L3"/>
    <mergeCell ref="A4:L4"/>
    <mergeCell ref="A5:L5"/>
  </mergeCells>
  <phoneticPr fontId="0" type="noConversion"/>
  <conditionalFormatting sqref="D33 D40 D43">
    <cfRule type="cellIs" dxfId="3" priority="3" stopIfTrue="1" operator="greaterThan">
      <formula>0</formula>
    </cfRule>
    <cfRule type="cellIs" dxfId="2" priority="4" stopIfTrue="1" operator="greaterThan">
      <formula>0</formula>
    </cfRule>
  </conditionalFormatting>
  <conditionalFormatting sqref="E33">
    <cfRule type="cellIs" dxfId="1" priority="1" operator="equal">
      <formula>0</formula>
    </cfRule>
    <cfRule type="cellIs" dxfId="0" priority="2" operator="equal">
      <formula>"EVAPORATE"</formula>
    </cfRule>
  </conditionalFormatting>
  <dataValidations count="1">
    <dataValidation type="list" allowBlank="1" showInputMessage="1" showErrorMessage="1" sqref="C11">
      <formula1>$C$8:$C$9</formula1>
    </dataValidation>
  </dataValidations>
  <pageMargins left="0.75" right="0.75" top="1" bottom="1" header="0.5" footer="0.5"/>
  <pageSetup scale="7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Alisa Rawski</cp:lastModifiedBy>
  <cp:lastPrinted>2007-11-08T16:13:50Z</cp:lastPrinted>
  <dcterms:created xsi:type="dcterms:W3CDTF">1999-06-23T17:41:59Z</dcterms:created>
  <dcterms:modified xsi:type="dcterms:W3CDTF">2016-04-21T13:04:43Z</dcterms:modified>
</cp:coreProperties>
</file>